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rdochuniversity-my.sharepoint.com/personal/75002750_murdoch_edu_au/Documents/Desktop/"/>
    </mc:Choice>
  </mc:AlternateContent>
  <xr:revisionPtr revIDLastSave="0" documentId="8_{2B7673B8-FA52-4387-814E-4B29A35DE185}" xr6:coauthVersionLast="47" xr6:coauthVersionMax="47" xr10:uidLastSave="{00000000-0000-0000-0000-000000000000}"/>
  <bookViews>
    <workbookView xWindow="-120" yWindow="-120" windowWidth="29040" windowHeight="15720" xr2:uid="{23F8077D-AF85-40C2-B88A-F2B189B047C3}"/>
  </bookViews>
  <sheets>
    <sheet name="Non-traditional - dog" sheetId="1" r:id="rId1"/>
    <sheet name="Non-traditional - cat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B14" i="1"/>
  <c r="C7" i="2"/>
  <c r="B20" i="2" s="1"/>
  <c r="B25" i="2"/>
  <c r="B14" i="2"/>
  <c r="C11" i="2"/>
  <c r="B31" i="2" s="1"/>
  <c r="C10" i="2"/>
  <c r="C9" i="2"/>
  <c r="C8" i="2"/>
  <c r="C6" i="2"/>
  <c r="B30" i="2" s="1"/>
  <c r="C5" i="2"/>
  <c r="C4" i="2"/>
  <c r="C3" i="2"/>
  <c r="C2" i="2"/>
  <c r="C7" i="1"/>
  <c r="B29" i="1" s="1"/>
  <c r="B18" i="1"/>
  <c r="C11" i="1"/>
  <c r="B31" i="1" s="1"/>
  <c r="C10" i="1"/>
  <c r="C9" i="1"/>
  <c r="C8" i="1"/>
  <c r="C6" i="1"/>
  <c r="B30" i="1" s="1"/>
  <c r="C5" i="1"/>
  <c r="C4" i="1"/>
  <c r="C3" i="1"/>
  <c r="B25" i="1" s="1"/>
  <c r="C2" i="1"/>
  <c r="B28" i="1" l="1"/>
  <c r="B26" i="1"/>
  <c r="B27" i="1" s="1"/>
  <c r="B32" i="1" s="1"/>
  <c r="B33" i="1" s="1"/>
  <c r="B20" i="1"/>
  <c r="B29" i="2"/>
  <c r="B19" i="2"/>
  <c r="B28" i="2"/>
  <c r="B26" i="2"/>
  <c r="B27" i="2" s="1"/>
  <c r="B19" i="1"/>
  <c r="B32" i="2" l="1"/>
  <c r="B33" i="2" s="1"/>
  <c r="B21" i="1"/>
  <c r="B22" i="1" s="1"/>
  <c r="B21" i="2"/>
  <c r="B22" i="2" s="1"/>
</calcChain>
</file>

<file path=xl/sharedStrings.xml><?xml version="1.0" encoding="utf-8"?>
<sst xmlns="http://schemas.openxmlformats.org/spreadsheetml/2006/main" count="97" uniqueCount="60">
  <si>
    <t>Patient values</t>
  </si>
  <si>
    <t xml:space="preserve">pH </t>
  </si>
  <si>
    <t>Sodium</t>
  </si>
  <si>
    <t>Potassium</t>
  </si>
  <si>
    <t>Chloride</t>
  </si>
  <si>
    <t>Albumin</t>
  </si>
  <si>
    <t>Phosphorus</t>
  </si>
  <si>
    <t>PvCO2</t>
  </si>
  <si>
    <t>HCO3</t>
  </si>
  <si>
    <t>Base Excess</t>
  </si>
  <si>
    <t>Lactate</t>
  </si>
  <si>
    <t>Australian Units</t>
  </si>
  <si>
    <t>USA Units</t>
  </si>
  <si>
    <t>Midnormal - USA units</t>
  </si>
  <si>
    <t>Reference range - USA units</t>
  </si>
  <si>
    <t>7.32-7.43</t>
  </si>
  <si>
    <t>144-152</t>
  </si>
  <si>
    <t>3.6-4.7</t>
  </si>
  <si>
    <t>111-121</t>
  </si>
  <si>
    <t>3.4-4.3</t>
  </si>
  <si>
    <t>2.6-5.2</t>
  </si>
  <si>
    <t>37-45</t>
  </si>
  <si>
    <t>18-26</t>
  </si>
  <si>
    <t>-4 to -1</t>
  </si>
  <si>
    <t>&lt;2</t>
  </si>
  <si>
    <t>Calculated values</t>
  </si>
  <si>
    <t>Anion Gap</t>
  </si>
  <si>
    <t>8-16</t>
  </si>
  <si>
    <t>Strong Ion Difference approach</t>
  </si>
  <si>
    <t>SID</t>
  </si>
  <si>
    <t>Albumin effect</t>
  </si>
  <si>
    <t xml:space="preserve">Phosphorus effect </t>
  </si>
  <si>
    <t>Atot</t>
  </si>
  <si>
    <t>10-11</t>
  </si>
  <si>
    <t>Strong ion gap</t>
  </si>
  <si>
    <t>0-8</t>
  </si>
  <si>
    <t>Semiquantitative approach</t>
  </si>
  <si>
    <t>Free water effect</t>
  </si>
  <si>
    <t>Corrected chloride</t>
  </si>
  <si>
    <t>Chloride effect</t>
  </si>
  <si>
    <t>Phosphorus effect</t>
  </si>
  <si>
    <t>Lactate effect</t>
  </si>
  <si>
    <t>Sum of effects</t>
  </si>
  <si>
    <t>Unmeasured ion effect = XA-</t>
  </si>
  <si>
    <t>Cl:Na ratio</t>
  </si>
  <si>
    <t>0.72-0.8</t>
  </si>
  <si>
    <t>7.34-7.43</t>
  </si>
  <si>
    <t>148-156</t>
  </si>
  <si>
    <t>115-125</t>
  </si>
  <si>
    <t>2.2-4.6</t>
  </si>
  <si>
    <t>3.4-4.6</t>
  </si>
  <si>
    <t>3.2-6.4</t>
  </si>
  <si>
    <t>34-39</t>
  </si>
  <si>
    <t>20-23</t>
  </si>
  <si>
    <t>-5-0</t>
  </si>
  <si>
    <t>8-17</t>
  </si>
  <si>
    <t>16-20</t>
  </si>
  <si>
    <t>6-9</t>
  </si>
  <si>
    <t>40-44</t>
  </si>
  <si>
    <t>32-45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</si>
</sst>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/>
    <xf numFmtId="17" fontId="0" fillId="0" borderId="0" xfId="0" quotePrefix="1" applyNumberFormat="1"/>
    <xf numFmtId="16" fontId="0" fillId="0" borderId="0" xfId="0" quotePrefix="1" applyNumberFormat="1"/>
    <xf numFmtId="0" fontId="1" fillId="2" borderId="0" xfId="0" applyFont="1" applyFill="1"/>
  </cellXfs>
  <cellStyles count="1"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483C-77E1-4138-A2A6-A683A60B7842}">
  <dimension ref="A1:E33"/>
  <sheetViews>
    <sheetView tabSelected="1" workbookViewId="0">
      <selection activeCell="J29" sqref="J29"/>
    </sheetView>
  </sheetViews>
  <sheetFormatPr defaultRowHeight="14.5" x14ac:dyDescent="0.35"/>
  <cols>
    <col min="1" max="1" width="28.453125" customWidth="1"/>
    <col min="2" max="2" width="15" customWidth="1"/>
    <col min="3" max="3" width="14.26953125" customWidth="1"/>
    <col min="4" max="4" width="25.453125" customWidth="1"/>
    <col min="5" max="5" width="20.54296875" customWidth="1"/>
  </cols>
  <sheetData>
    <row r="1" spans="1:5" x14ac:dyDescent="0.35">
      <c r="A1" s="4" t="s">
        <v>0</v>
      </c>
      <c r="B1" s="4" t="s">
        <v>11</v>
      </c>
      <c r="C1" s="4" t="s">
        <v>12</v>
      </c>
      <c r="D1" s="4" t="s">
        <v>14</v>
      </c>
      <c r="E1" s="4" t="s">
        <v>13</v>
      </c>
    </row>
    <row r="2" spans="1:5" x14ac:dyDescent="0.35">
      <c r="A2" t="s">
        <v>1</v>
      </c>
      <c r="B2">
        <v>7.319</v>
      </c>
      <c r="C2">
        <f>B2</f>
        <v>7.319</v>
      </c>
      <c r="D2" t="s">
        <v>15</v>
      </c>
    </row>
    <row r="3" spans="1:5" x14ac:dyDescent="0.35">
      <c r="A3" t="s">
        <v>2</v>
      </c>
      <c r="B3">
        <v>150</v>
      </c>
      <c r="C3">
        <f>B3</f>
        <v>150</v>
      </c>
      <c r="D3" t="s">
        <v>16</v>
      </c>
      <c r="E3">
        <v>148</v>
      </c>
    </row>
    <row r="4" spans="1:5" x14ac:dyDescent="0.35">
      <c r="A4" t="s">
        <v>3</v>
      </c>
      <c r="B4">
        <v>4.4000000000000004</v>
      </c>
      <c r="C4">
        <f>B4</f>
        <v>4.4000000000000004</v>
      </c>
      <c r="D4" t="s">
        <v>17</v>
      </c>
      <c r="E4">
        <v>4.0999999999999996</v>
      </c>
    </row>
    <row r="5" spans="1:5" x14ac:dyDescent="0.35">
      <c r="A5" t="s">
        <v>4</v>
      </c>
      <c r="B5">
        <v>117</v>
      </c>
      <c r="C5">
        <f>B5</f>
        <v>117</v>
      </c>
      <c r="D5" t="s">
        <v>18</v>
      </c>
      <c r="E5">
        <v>116</v>
      </c>
    </row>
    <row r="6" spans="1:5" x14ac:dyDescent="0.35">
      <c r="A6" t="s">
        <v>5</v>
      </c>
      <c r="B6">
        <v>27</v>
      </c>
      <c r="C6">
        <f>B6/10</f>
        <v>2.7</v>
      </c>
      <c r="D6" t="s">
        <v>19</v>
      </c>
      <c r="E6">
        <v>3.9</v>
      </c>
    </row>
    <row r="7" spans="1:5" x14ac:dyDescent="0.35">
      <c r="A7" t="s">
        <v>6</v>
      </c>
      <c r="B7">
        <v>1.44</v>
      </c>
      <c r="C7">
        <f>B7*3.1</f>
        <v>4.4639999999999995</v>
      </c>
      <c r="D7" t="s">
        <v>20</v>
      </c>
      <c r="E7">
        <v>3.9</v>
      </c>
    </row>
    <row r="8" spans="1:5" x14ac:dyDescent="0.35">
      <c r="A8" t="s">
        <v>7</v>
      </c>
      <c r="B8">
        <v>37</v>
      </c>
      <c r="C8">
        <f>B8</f>
        <v>37</v>
      </c>
      <c r="D8" t="s">
        <v>21</v>
      </c>
    </row>
    <row r="9" spans="1:5" x14ac:dyDescent="0.35">
      <c r="A9" t="s">
        <v>8</v>
      </c>
      <c r="B9">
        <v>19</v>
      </c>
      <c r="C9">
        <f>B9</f>
        <v>19</v>
      </c>
      <c r="D9" t="s">
        <v>22</v>
      </c>
    </row>
    <row r="10" spans="1:5" x14ac:dyDescent="0.35">
      <c r="A10" t="s">
        <v>9</v>
      </c>
      <c r="B10">
        <v>-7.1</v>
      </c>
      <c r="C10">
        <f>B10</f>
        <v>-7.1</v>
      </c>
      <c r="D10" s="1" t="s">
        <v>23</v>
      </c>
    </row>
    <row r="11" spans="1:5" x14ac:dyDescent="0.35">
      <c r="A11" t="s">
        <v>10</v>
      </c>
      <c r="B11">
        <v>3.3</v>
      </c>
      <c r="C11">
        <f>B11</f>
        <v>3.3</v>
      </c>
      <c r="D11" t="s">
        <v>24</v>
      </c>
    </row>
    <row r="13" spans="1:5" x14ac:dyDescent="0.35">
      <c r="A13" s="4" t="s">
        <v>25</v>
      </c>
    </row>
    <row r="14" spans="1:5" x14ac:dyDescent="0.35">
      <c r="A14" t="s">
        <v>26</v>
      </c>
      <c r="B14">
        <f>(B3+B4)-(B5+B9)</f>
        <v>18.400000000000006</v>
      </c>
      <c r="D14" s="2" t="s">
        <v>27</v>
      </c>
    </row>
    <row r="17" spans="1:4" x14ac:dyDescent="0.35">
      <c r="A17" s="4" t="s">
        <v>28</v>
      </c>
    </row>
    <row r="18" spans="1:4" x14ac:dyDescent="0.35">
      <c r="A18" t="s">
        <v>29</v>
      </c>
      <c r="B18">
        <f>B3+B4-B5</f>
        <v>37.400000000000006</v>
      </c>
      <c r="D18" t="s">
        <v>59</v>
      </c>
    </row>
    <row r="19" spans="1:4" x14ac:dyDescent="0.35">
      <c r="A19" t="s">
        <v>30</v>
      </c>
      <c r="B19">
        <f>C6*10*((0.123*C2)-0.631)</f>
        <v>7.2693989999999982</v>
      </c>
    </row>
    <row r="20" spans="1:4" x14ac:dyDescent="0.35">
      <c r="A20" t="s">
        <v>31</v>
      </c>
      <c r="B20">
        <f>(C7*0.323*(0.309*C2-0.469))</f>
        <v>2.5846579329120001</v>
      </c>
    </row>
    <row r="21" spans="1:4" x14ac:dyDescent="0.35">
      <c r="A21" s="1" t="s">
        <v>32</v>
      </c>
      <c r="B21">
        <f>B19+B20</f>
        <v>9.8540569329119982</v>
      </c>
      <c r="D21" s="3" t="s">
        <v>33</v>
      </c>
    </row>
    <row r="22" spans="1:4" x14ac:dyDescent="0.35">
      <c r="A22" t="s">
        <v>34</v>
      </c>
      <c r="B22">
        <f>B18-(C9+B21)</f>
        <v>8.5459430670880074</v>
      </c>
      <c r="D22" t="s">
        <v>35</v>
      </c>
    </row>
    <row r="24" spans="1:4" x14ac:dyDescent="0.35">
      <c r="A24" s="4" t="s">
        <v>36</v>
      </c>
    </row>
    <row r="25" spans="1:4" x14ac:dyDescent="0.35">
      <c r="A25" t="s">
        <v>37</v>
      </c>
      <c r="B25">
        <f>0.25*(C3-E3)</f>
        <v>0.5</v>
      </c>
    </row>
    <row r="26" spans="1:4" x14ac:dyDescent="0.35">
      <c r="A26" t="s">
        <v>38</v>
      </c>
      <c r="B26">
        <f>C5*(E3/C3)</f>
        <v>115.44</v>
      </c>
    </row>
    <row r="27" spans="1:4" x14ac:dyDescent="0.35">
      <c r="A27" t="s">
        <v>39</v>
      </c>
      <c r="B27">
        <f>E5-B26</f>
        <v>0.56000000000000227</v>
      </c>
    </row>
    <row r="28" spans="1:4" x14ac:dyDescent="0.35">
      <c r="A28" t="s">
        <v>44</v>
      </c>
      <c r="B28">
        <f>C5/C3</f>
        <v>0.78</v>
      </c>
      <c r="D28" t="s">
        <v>45</v>
      </c>
    </row>
    <row r="29" spans="1:4" x14ac:dyDescent="0.35">
      <c r="A29" t="s">
        <v>40</v>
      </c>
      <c r="B29">
        <f>0.58*(E7-C7)</f>
        <v>-0.32711999999999974</v>
      </c>
    </row>
    <row r="30" spans="1:4" x14ac:dyDescent="0.35">
      <c r="A30" t="s">
        <v>30</v>
      </c>
      <c r="B30">
        <f>3.7*(E6-C6)</f>
        <v>4.4399999999999995</v>
      </c>
    </row>
    <row r="31" spans="1:4" x14ac:dyDescent="0.35">
      <c r="A31" t="s">
        <v>41</v>
      </c>
      <c r="B31">
        <f>-1*C11</f>
        <v>-3.3</v>
      </c>
    </row>
    <row r="32" spans="1:4" x14ac:dyDescent="0.35">
      <c r="A32" t="s">
        <v>42</v>
      </c>
      <c r="B32">
        <f>B25+B27+B29+B30+B31</f>
        <v>1.8728800000000021</v>
      </c>
    </row>
    <row r="33" spans="1:2" x14ac:dyDescent="0.35">
      <c r="A33" t="s">
        <v>43</v>
      </c>
      <c r="B33">
        <f>B10-B32</f>
        <v>-8.9728800000000017</v>
      </c>
    </row>
  </sheetData>
  <conditionalFormatting sqref="B14">
    <cfRule type="cellIs" dxfId="59" priority="28" operator="lessThan">
      <formula>8</formula>
    </cfRule>
    <cfRule type="cellIs" dxfId="58" priority="29" operator="greaterThan">
      <formula>16</formula>
    </cfRule>
  </conditionalFormatting>
  <conditionalFormatting sqref="B18">
    <cfRule type="cellIs" dxfId="57" priority="26" operator="lessThan">
      <formula>32</formula>
    </cfRule>
    <cfRule type="cellIs" dxfId="56" priority="27" operator="greaterThan">
      <formula>45</formula>
    </cfRule>
  </conditionalFormatting>
  <conditionalFormatting sqref="B21">
    <cfRule type="cellIs" dxfId="55" priority="24" operator="lessThan">
      <formula>10</formula>
    </cfRule>
    <cfRule type="cellIs" dxfId="54" priority="25" operator="greaterThan">
      <formula>11</formula>
    </cfRule>
  </conditionalFormatting>
  <conditionalFormatting sqref="B22">
    <cfRule type="cellIs" dxfId="53" priority="22" operator="lessThan">
      <formula>0</formula>
    </cfRule>
    <cfRule type="cellIs" dxfId="52" priority="23" operator="greaterThan">
      <formula>8</formula>
    </cfRule>
  </conditionalFormatting>
  <conditionalFormatting sqref="B28">
    <cfRule type="cellIs" dxfId="51" priority="20" operator="lessThan">
      <formula>0.72</formula>
    </cfRule>
    <cfRule type="cellIs" dxfId="50" priority="21" operator="greaterThan">
      <formula>0.8</formula>
    </cfRule>
  </conditionalFormatting>
  <conditionalFormatting sqref="C2">
    <cfRule type="cellIs" dxfId="49" priority="18" operator="lessThan">
      <formula>7.32</formula>
    </cfRule>
    <cfRule type="cellIs" dxfId="48" priority="19" operator="greaterThan">
      <formula>7.43</formula>
    </cfRule>
  </conditionalFormatting>
  <conditionalFormatting sqref="C3">
    <cfRule type="cellIs" dxfId="47" priority="16" operator="lessThan">
      <formula>144</formula>
    </cfRule>
    <cfRule type="cellIs" dxfId="46" priority="17" operator="greaterThan">
      <formula>152</formula>
    </cfRule>
  </conditionalFormatting>
  <conditionalFormatting sqref="C4">
    <cfRule type="cellIs" dxfId="45" priority="14" operator="lessThan">
      <formula>3.6</formula>
    </cfRule>
    <cfRule type="cellIs" dxfId="44" priority="15" operator="greaterThan">
      <formula>4.7</formula>
    </cfRule>
  </conditionalFormatting>
  <conditionalFormatting sqref="C5">
    <cfRule type="cellIs" dxfId="43" priority="12" operator="lessThan">
      <formula>111</formula>
    </cfRule>
    <cfRule type="cellIs" dxfId="42" priority="13" operator="greaterThan">
      <formula>121</formula>
    </cfRule>
  </conditionalFormatting>
  <conditionalFormatting sqref="C6">
    <cfRule type="cellIs" dxfId="41" priority="10" operator="lessThan">
      <formula>3.4</formula>
    </cfRule>
    <cfRule type="cellIs" dxfId="40" priority="11" operator="greaterThan">
      <formula>4.3</formula>
    </cfRule>
  </conditionalFormatting>
  <conditionalFormatting sqref="C7">
    <cfRule type="cellIs" dxfId="39" priority="8" operator="lessThan">
      <formula>2.6</formula>
    </cfRule>
    <cfRule type="cellIs" dxfId="38" priority="9" operator="greaterThan">
      <formula>5.2</formula>
    </cfRule>
  </conditionalFormatting>
  <conditionalFormatting sqref="C8">
    <cfRule type="cellIs" dxfId="37" priority="6" operator="lessThan">
      <formula>37</formula>
    </cfRule>
    <cfRule type="cellIs" dxfId="36" priority="7" operator="greaterThan">
      <formula>45</formula>
    </cfRule>
  </conditionalFormatting>
  <conditionalFormatting sqref="C9">
    <cfRule type="cellIs" dxfId="35" priority="4" operator="lessThan">
      <formula>18</formula>
    </cfRule>
    <cfRule type="cellIs" dxfId="34" priority="5" operator="greaterThan">
      <formula>26</formula>
    </cfRule>
  </conditionalFormatting>
  <conditionalFormatting sqref="C10">
    <cfRule type="cellIs" dxfId="33" priority="2" operator="lessThan">
      <formula>-4</formula>
    </cfRule>
    <cfRule type="cellIs" dxfId="32" priority="3" operator="greaterThan">
      <formula>-1</formula>
    </cfRule>
  </conditionalFormatting>
  <conditionalFormatting sqref="C11">
    <cfRule type="cellIs" dxfId="31" priority="1" operator="greaterThan">
      <formula>2</formula>
    </cfRule>
  </conditionalFormatting>
  <pageMargins left="0.7" right="0.7" top="0.75" bottom="0.75" header="0.3" footer="0.3"/>
  <headerFooter>
    <oddFooter>&amp;L_x000D_&amp;1#&amp;"Calibri"&amp;11&amp;K008000 [OFFICIAL]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E5A86-48ED-466E-A13A-046F5C1902A3}">
  <dimension ref="A1:E33"/>
  <sheetViews>
    <sheetView workbookViewId="0">
      <selection activeCell="B14" sqref="B14"/>
    </sheetView>
  </sheetViews>
  <sheetFormatPr defaultRowHeight="14.5" x14ac:dyDescent="0.35"/>
  <cols>
    <col min="1" max="1" width="28.453125" customWidth="1"/>
    <col min="2" max="2" width="15" customWidth="1"/>
    <col min="3" max="3" width="14.26953125" customWidth="1"/>
    <col min="4" max="4" width="25.453125" customWidth="1"/>
    <col min="5" max="5" width="20.54296875" customWidth="1"/>
  </cols>
  <sheetData>
    <row r="1" spans="1:5" x14ac:dyDescent="0.35">
      <c r="A1" s="4" t="s">
        <v>0</v>
      </c>
      <c r="B1" s="4" t="s">
        <v>11</v>
      </c>
      <c r="C1" s="4" t="s">
        <v>12</v>
      </c>
      <c r="D1" s="4" t="s">
        <v>14</v>
      </c>
      <c r="E1" s="4" t="s">
        <v>13</v>
      </c>
    </row>
    <row r="2" spans="1:5" x14ac:dyDescent="0.35">
      <c r="A2" t="s">
        <v>1</v>
      </c>
      <c r="B2">
        <v>7.3949999999999996</v>
      </c>
      <c r="C2">
        <f>B2</f>
        <v>7.3949999999999996</v>
      </c>
      <c r="D2" t="s">
        <v>46</v>
      </c>
    </row>
    <row r="3" spans="1:5" x14ac:dyDescent="0.35">
      <c r="A3" t="s">
        <v>2</v>
      </c>
      <c r="B3">
        <v>128</v>
      </c>
      <c r="C3">
        <f>B3</f>
        <v>128</v>
      </c>
      <c r="D3" t="s">
        <v>47</v>
      </c>
      <c r="E3">
        <v>152</v>
      </c>
    </row>
    <row r="4" spans="1:5" x14ac:dyDescent="0.35">
      <c r="A4" t="s">
        <v>3</v>
      </c>
      <c r="B4">
        <v>2.2000000000000002</v>
      </c>
      <c r="C4">
        <f>B4</f>
        <v>2.2000000000000002</v>
      </c>
      <c r="D4" t="s">
        <v>50</v>
      </c>
      <c r="E4">
        <v>3</v>
      </c>
    </row>
    <row r="5" spans="1:5" x14ac:dyDescent="0.35">
      <c r="A5" t="s">
        <v>4</v>
      </c>
      <c r="B5">
        <v>84</v>
      </c>
      <c r="C5">
        <f>B5</f>
        <v>84</v>
      </c>
      <c r="D5" t="s">
        <v>48</v>
      </c>
      <c r="E5">
        <v>120</v>
      </c>
    </row>
    <row r="6" spans="1:5" x14ac:dyDescent="0.35">
      <c r="A6" t="s">
        <v>5</v>
      </c>
      <c r="B6">
        <v>37</v>
      </c>
      <c r="C6">
        <f>B6/10</f>
        <v>3.7</v>
      </c>
      <c r="D6" t="s">
        <v>49</v>
      </c>
      <c r="E6">
        <v>3.4</v>
      </c>
    </row>
    <row r="7" spans="1:5" x14ac:dyDescent="0.35">
      <c r="A7" t="s">
        <v>6</v>
      </c>
      <c r="B7">
        <v>0.7</v>
      </c>
      <c r="C7">
        <f>B7*3.1</f>
        <v>2.17</v>
      </c>
      <c r="D7" t="s">
        <v>51</v>
      </c>
      <c r="E7">
        <v>4.8</v>
      </c>
    </row>
    <row r="8" spans="1:5" x14ac:dyDescent="0.35">
      <c r="A8" t="s">
        <v>7</v>
      </c>
      <c r="B8">
        <v>44.5</v>
      </c>
      <c r="C8">
        <f>B8</f>
        <v>44.5</v>
      </c>
      <c r="D8" t="s">
        <v>52</v>
      </c>
    </row>
    <row r="9" spans="1:5" x14ac:dyDescent="0.35">
      <c r="A9" t="s">
        <v>8</v>
      </c>
      <c r="B9">
        <v>26.7</v>
      </c>
      <c r="C9">
        <f>B9</f>
        <v>26.7</v>
      </c>
      <c r="D9" t="s">
        <v>53</v>
      </c>
    </row>
    <row r="10" spans="1:5" x14ac:dyDescent="0.35">
      <c r="A10" t="s">
        <v>9</v>
      </c>
      <c r="B10">
        <v>2.2000000000000002</v>
      </c>
      <c r="C10">
        <f>B10</f>
        <v>2.2000000000000002</v>
      </c>
      <c r="D10" s="1" t="s">
        <v>54</v>
      </c>
    </row>
    <row r="11" spans="1:5" x14ac:dyDescent="0.35">
      <c r="A11" t="s">
        <v>10</v>
      </c>
      <c r="B11">
        <v>2</v>
      </c>
      <c r="C11">
        <f>B11</f>
        <v>2</v>
      </c>
      <c r="D11" t="s">
        <v>24</v>
      </c>
    </row>
    <row r="13" spans="1:5" x14ac:dyDescent="0.35">
      <c r="A13" s="4" t="s">
        <v>25</v>
      </c>
    </row>
    <row r="14" spans="1:5" x14ac:dyDescent="0.35">
      <c r="A14" t="s">
        <v>26</v>
      </c>
      <c r="B14">
        <f>(B3+B4)-(B5+B9)</f>
        <v>19.499999999999986</v>
      </c>
      <c r="D14" s="2" t="s">
        <v>56</v>
      </c>
    </row>
    <row r="17" spans="1:4" x14ac:dyDescent="0.35">
      <c r="A17" s="4" t="s">
        <v>28</v>
      </c>
    </row>
    <row r="18" spans="1:4" x14ac:dyDescent="0.35">
      <c r="A18" t="s">
        <v>29</v>
      </c>
      <c r="B18">
        <f>B3+B4-B5</f>
        <v>46.199999999999989</v>
      </c>
      <c r="C18" t="s">
        <v>58</v>
      </c>
      <c r="D18" t="s">
        <v>58</v>
      </c>
    </row>
    <row r="19" spans="1:4" x14ac:dyDescent="0.35">
      <c r="A19" t="s">
        <v>30</v>
      </c>
      <c r="B19">
        <f>C6*10*((0.123*C2)-0.631)</f>
        <v>10.307644999999999</v>
      </c>
    </row>
    <row r="20" spans="1:4" x14ac:dyDescent="0.35">
      <c r="A20" t="s">
        <v>31</v>
      </c>
      <c r="B20">
        <f>(C7*0.323*(0.309*C2-0.469))</f>
        <v>1.27289111005</v>
      </c>
    </row>
    <row r="21" spans="1:4" x14ac:dyDescent="0.35">
      <c r="A21" s="1" t="s">
        <v>32</v>
      </c>
      <c r="B21">
        <f>B19+B20</f>
        <v>11.58053611005</v>
      </c>
      <c r="D21" s="3" t="s">
        <v>55</v>
      </c>
    </row>
    <row r="22" spans="1:4" x14ac:dyDescent="0.35">
      <c r="A22" t="s">
        <v>34</v>
      </c>
      <c r="B22">
        <f>B18-(C9+B21)</f>
        <v>7.9194638899499878</v>
      </c>
      <c r="D22" s="3" t="s">
        <v>57</v>
      </c>
    </row>
    <row r="24" spans="1:4" x14ac:dyDescent="0.35">
      <c r="A24" s="4" t="s">
        <v>36</v>
      </c>
    </row>
    <row r="25" spans="1:4" x14ac:dyDescent="0.35">
      <c r="A25" t="s">
        <v>37</v>
      </c>
      <c r="B25">
        <f>0.22*(C3-E3)</f>
        <v>-5.28</v>
      </c>
    </row>
    <row r="26" spans="1:4" x14ac:dyDescent="0.35">
      <c r="A26" t="s">
        <v>38</v>
      </c>
      <c r="B26">
        <f>C5*(E3/C3)</f>
        <v>99.75</v>
      </c>
    </row>
    <row r="27" spans="1:4" x14ac:dyDescent="0.35">
      <c r="A27" t="s">
        <v>39</v>
      </c>
      <c r="B27">
        <f>E5-B26</f>
        <v>20.25</v>
      </c>
    </row>
    <row r="28" spans="1:4" x14ac:dyDescent="0.35">
      <c r="A28" t="s">
        <v>44</v>
      </c>
      <c r="B28">
        <f>C5/C3</f>
        <v>0.65625</v>
      </c>
      <c r="D28" t="s">
        <v>45</v>
      </c>
    </row>
    <row r="29" spans="1:4" x14ac:dyDescent="0.35">
      <c r="A29" t="s">
        <v>40</v>
      </c>
      <c r="B29">
        <f>0.58*(E7-C7)</f>
        <v>1.5253999999999999</v>
      </c>
    </row>
    <row r="30" spans="1:4" x14ac:dyDescent="0.35">
      <c r="A30" t="s">
        <v>30</v>
      </c>
      <c r="B30">
        <f>3.7*(E6-C6)</f>
        <v>-1.110000000000001</v>
      </c>
    </row>
    <row r="31" spans="1:4" x14ac:dyDescent="0.35">
      <c r="A31" t="s">
        <v>41</v>
      </c>
      <c r="B31">
        <f>-1*C11</f>
        <v>-2</v>
      </c>
    </row>
    <row r="32" spans="1:4" x14ac:dyDescent="0.35">
      <c r="A32" t="s">
        <v>42</v>
      </c>
      <c r="B32">
        <f>B25+B27+B29+B30+B31</f>
        <v>13.385399999999999</v>
      </c>
    </row>
    <row r="33" spans="1:2" x14ac:dyDescent="0.35">
      <c r="A33" t="s">
        <v>43</v>
      </c>
      <c r="B33">
        <f>B10-B32</f>
        <v>-11.185399999999998</v>
      </c>
    </row>
  </sheetData>
  <conditionalFormatting sqref="B14">
    <cfRule type="cellIs" dxfId="30" priority="1" operator="lessThan">
      <formula>16</formula>
    </cfRule>
    <cfRule type="cellIs" dxfId="29" priority="2" operator="greaterThan">
      <formula>20</formula>
    </cfRule>
  </conditionalFormatting>
  <conditionalFormatting sqref="B18">
    <cfRule type="cellIs" dxfId="28" priority="33" operator="greaterThan">
      <formula>40</formula>
    </cfRule>
    <cfRule type="cellIs" dxfId="27" priority="32" operator="lessThan">
      <formula>40</formula>
    </cfRule>
  </conditionalFormatting>
  <conditionalFormatting sqref="B21">
    <cfRule type="cellIs" dxfId="26" priority="28" operator="lessThan">
      <formula>8</formula>
    </cfRule>
    <cfRule type="cellIs" dxfId="25" priority="29" operator="greaterThan">
      <formula>17</formula>
    </cfRule>
  </conditionalFormatting>
  <conditionalFormatting sqref="B22">
    <cfRule type="cellIs" dxfId="24" priority="26" operator="lessThan">
      <formula>6</formula>
    </cfRule>
    <cfRule type="cellIs" dxfId="23" priority="27" operator="greaterThan">
      <formula>9</formula>
    </cfRule>
  </conditionalFormatting>
  <conditionalFormatting sqref="B28">
    <cfRule type="cellIs" dxfId="22" priority="24" operator="lessThan">
      <formula>0.72</formula>
    </cfRule>
    <cfRule type="cellIs" dxfId="21" priority="25" operator="greaterThan">
      <formula>0.8</formula>
    </cfRule>
  </conditionalFormatting>
  <conditionalFormatting sqref="C2">
    <cfRule type="cellIs" dxfId="20" priority="22" operator="lessThan">
      <formula>7.34</formula>
    </cfRule>
    <cfRule type="cellIs" dxfId="19" priority="23" operator="greaterThan">
      <formula>7.43</formula>
    </cfRule>
  </conditionalFormatting>
  <conditionalFormatting sqref="C3">
    <cfRule type="cellIs" dxfId="18" priority="20" operator="lessThan">
      <formula>148</formula>
    </cfRule>
    <cfRule type="cellIs" dxfId="17" priority="21" operator="greaterThan">
      <formula>156</formula>
    </cfRule>
  </conditionalFormatting>
  <conditionalFormatting sqref="C4">
    <cfRule type="cellIs" dxfId="16" priority="19" operator="greaterThan">
      <formula>4.6</formula>
    </cfRule>
    <cfRule type="cellIs" dxfId="15" priority="18" operator="lessThan">
      <formula>3.4</formula>
    </cfRule>
  </conditionalFormatting>
  <conditionalFormatting sqref="C5">
    <cfRule type="cellIs" dxfId="14" priority="16" operator="lessThan">
      <formula>115</formula>
    </cfRule>
    <cfRule type="cellIs" dxfId="13" priority="17" operator="greaterThan">
      <formula>125</formula>
    </cfRule>
  </conditionalFormatting>
  <conditionalFormatting sqref="C6">
    <cfRule type="cellIs" dxfId="12" priority="14" operator="lessThan">
      <formula>2.2</formula>
    </cfRule>
    <cfRule type="cellIs" dxfId="11" priority="15" operator="greaterThan">
      <formula>4.6</formula>
    </cfRule>
  </conditionalFormatting>
  <conditionalFormatting sqref="C7">
    <cfRule type="cellIs" dxfId="10" priority="11" operator="lessThan">
      <formula>3.2</formula>
    </cfRule>
    <cfRule type="cellIs" dxfId="9" priority="12" operator="greaterThan">
      <formula>6.4</formula>
    </cfRule>
    <cfRule type="cellIs" dxfId="8" priority="13" operator="greaterThan">
      <formula>3.2</formula>
    </cfRule>
  </conditionalFormatting>
  <conditionalFormatting sqref="C8">
    <cfRule type="cellIs" dxfId="7" priority="9" operator="lessThan">
      <formula>34</formula>
    </cfRule>
    <cfRule type="cellIs" dxfId="6" priority="10" operator="greaterThan">
      <formula>39</formula>
    </cfRule>
  </conditionalFormatting>
  <conditionalFormatting sqref="C9">
    <cfRule type="cellIs" dxfId="5" priority="7" operator="lessThan">
      <formula>20</formula>
    </cfRule>
    <cfRule type="cellIs" dxfId="4" priority="8" operator="greaterThan">
      <formula>23</formula>
    </cfRule>
  </conditionalFormatting>
  <conditionalFormatting sqref="C10">
    <cfRule type="cellIs" dxfId="3" priority="5" operator="lessThan">
      <formula>-5</formula>
    </cfRule>
    <cfRule type="cellIs" dxfId="2" priority="6" operator="greaterThan">
      <formula>0</formula>
    </cfRule>
  </conditionalFormatting>
  <conditionalFormatting sqref="C11">
    <cfRule type="cellIs" dxfId="1" priority="3" operator="greaterThan">
      <formula>1.9</formula>
    </cfRule>
    <cfRule type="cellIs" dxfId="0" priority="4" operator="greaterThan">
      <formula>2</formula>
    </cfRule>
  </conditionalFormatting>
  <pageMargins left="0.7" right="0.7" top="0.75" bottom="0.75" header="0.3" footer="0.3"/>
  <headerFooter>
    <oddFooter>&amp;L_x000D_&amp;1#&amp;"Calibri"&amp;11&amp;K008000 [OFFICIAL]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D0CB8FEB64BC429731D8501EC27CD1" ma:contentTypeVersion="22" ma:contentTypeDescription="Create a new document." ma:contentTypeScope="" ma:versionID="caac2b0615a6c13fd283300d3905c8e2">
  <xsd:schema xmlns:xsd="http://www.w3.org/2001/XMLSchema" xmlns:xs="http://www.w3.org/2001/XMLSchema" xmlns:p="http://schemas.microsoft.com/office/2006/metadata/properties" xmlns:ns2="979f3f32-ee19-46c3-a5ac-8bf3716e1ee1" xmlns:ns3="52df5d6b-9c3d-4d94-944c-47293c5dbadd" targetNamespace="http://schemas.microsoft.com/office/2006/metadata/properties" ma:root="true" ma:fieldsID="0bad610f299d409cb899f479ae002c65" ns2:_="" ns3:_="">
    <xsd:import namespace="979f3f32-ee19-46c3-a5ac-8bf3716e1ee1"/>
    <xsd:import namespace="52df5d6b-9c3d-4d94-944c-47293c5dba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_dlc_DocId" minOccurs="0"/>
                <xsd:element ref="ns3:_dlc_DocIdUrl" minOccurs="0"/>
                <xsd:element ref="ns3:_dlc_DocIdPersistId" minOccurs="0"/>
                <xsd:element ref="ns2:Link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f3f32-ee19-46c3-a5ac-8bf3716e1e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6e38b620-74d8-4d44-bbf2-2a4b891a77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df5d6b-9c3d-4d94-944c-47293c5dbadd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822faf2c-9733-47e2-8968-d8f27b6dc15c}" ma:internalName="TaxCatchAll" ma:showField="CatchAllData" ma:web="52df5d6b-9c3d-4d94-944c-47293c5dba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df5d6b-9c3d-4d94-944c-47293c5dbadd" xsi:nil="true"/>
    <lcf76f155ced4ddcb4097134ff3c332f xmlns="979f3f32-ee19-46c3-a5ac-8bf3716e1ee1">
      <Terms xmlns="http://schemas.microsoft.com/office/infopath/2007/PartnerControls"/>
    </lcf76f155ced4ddcb4097134ff3c332f>
    <_Flow_SignoffStatus xmlns="979f3f32-ee19-46c3-a5ac-8bf3716e1ee1" xsi:nil="true"/>
    <Link xmlns="979f3f32-ee19-46c3-a5ac-8bf3716e1ee1">
      <Url xsi:nil="true"/>
      <Description xsi:nil="true"/>
    </Link>
    <_dlc_DocId xmlns="52df5d6b-9c3d-4d94-944c-47293c5dbadd">ANZCVS-61026457-325714</_dlc_DocId>
    <_dlc_DocIdUrl xmlns="52df5d6b-9c3d-4d94-944c-47293c5dbadd">
      <Url>https://anzcvsportal.sharepoint.com/_layouts/15/DocIdRedir.aspx?ID=ANZCVS-61026457-325714</Url>
      <Description>ANZCVS-61026457-325714</Description>
    </_dlc_DocIdUrl>
  </documentManagement>
</p:properties>
</file>

<file path=customXml/itemProps1.xml><?xml version="1.0" encoding="utf-8"?>
<ds:datastoreItem xmlns:ds="http://schemas.openxmlformats.org/officeDocument/2006/customXml" ds:itemID="{ACEE4E24-F18B-4E10-862C-67150D2DBDD6}"/>
</file>

<file path=customXml/itemProps2.xml><?xml version="1.0" encoding="utf-8"?>
<ds:datastoreItem xmlns:ds="http://schemas.openxmlformats.org/officeDocument/2006/customXml" ds:itemID="{7D7B5ACD-66BC-417F-B885-93A5773E4172}"/>
</file>

<file path=customXml/itemProps3.xml><?xml version="1.0" encoding="utf-8"?>
<ds:datastoreItem xmlns:ds="http://schemas.openxmlformats.org/officeDocument/2006/customXml" ds:itemID="{9342FBAE-4EA1-4B99-85C2-CEDFF02398EA}"/>
</file>

<file path=customXml/itemProps4.xml><?xml version="1.0" encoding="utf-8"?>
<ds:datastoreItem xmlns:ds="http://schemas.openxmlformats.org/officeDocument/2006/customXml" ds:itemID="{C6250532-E5EC-4E3A-A6B3-372E392FC0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Non-traditional - dog</vt:lpstr>
      <vt:lpstr>Non-traditional - cat</vt:lpstr>
    </vt:vector>
  </TitlesOfParts>
  <Company>Murdoch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Moses</dc:creator>
  <cp:lastModifiedBy>Ivan Moses</cp:lastModifiedBy>
  <dcterms:created xsi:type="dcterms:W3CDTF">2025-10-30T04:11:39Z</dcterms:created>
  <dcterms:modified xsi:type="dcterms:W3CDTF">2025-11-28T07:10:41Z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4f931c-4856-410e-abf2-8a4d5c5dd217_Enabled">
    <vt:lpwstr>true</vt:lpwstr>
  </property>
  <property fmtid="{D5CDD505-2E9C-101B-9397-08002B2CF9AE}" pid="3" name="MSIP_Label_374f931c-4856-410e-abf2-8a4d5c5dd217_SetDate">
    <vt:lpwstr>2025-10-30T04:34:40Z</vt:lpwstr>
  </property>
  <property fmtid="{D5CDD505-2E9C-101B-9397-08002B2CF9AE}" pid="4" name="MSIP_Label_374f931c-4856-410e-abf2-8a4d5c5dd217_Method">
    <vt:lpwstr>Standard</vt:lpwstr>
  </property>
  <property fmtid="{D5CDD505-2E9C-101B-9397-08002B2CF9AE}" pid="5" name="MSIP_Label_374f931c-4856-410e-abf2-8a4d5c5dd217_Name">
    <vt:lpwstr>Official</vt:lpwstr>
  </property>
  <property fmtid="{D5CDD505-2E9C-101B-9397-08002B2CF9AE}" pid="6" name="MSIP_Label_374f931c-4856-410e-abf2-8a4d5c5dd217_SiteId">
    <vt:lpwstr>c00d4c1b-cf7b-4e93-b7c7-10113a9bc230</vt:lpwstr>
  </property>
  <property fmtid="{D5CDD505-2E9C-101B-9397-08002B2CF9AE}" pid="7" name="MSIP_Label_374f931c-4856-410e-abf2-8a4d5c5dd217_ActionId">
    <vt:lpwstr>419c3b02-88eb-4273-90b7-c3ba753d4704</vt:lpwstr>
  </property>
  <property fmtid="{D5CDD505-2E9C-101B-9397-08002B2CF9AE}" pid="8" name="MSIP_Label_374f931c-4856-410e-abf2-8a4d5c5dd217_ContentBits">
    <vt:lpwstr>2</vt:lpwstr>
  </property>
  <property fmtid="{D5CDD505-2E9C-101B-9397-08002B2CF9AE}" pid="9" name="MSIP_Label_374f931c-4856-410e-abf2-8a4d5c5dd217_Tag">
    <vt:lpwstr>10, 3, 0, 1</vt:lpwstr>
  </property>
  <property fmtid="{D5CDD505-2E9C-101B-9397-08002B2CF9AE}" pid="10" name="ContentTypeId">
    <vt:lpwstr>0x01010069D0CB8FEB64BC429731D8501EC27CD1</vt:lpwstr>
  </property>
  <property fmtid="{D5CDD505-2E9C-101B-9397-08002B2CF9AE}" pid="11" name="_dlc_DocIdItemGuid">
    <vt:lpwstr>c4be394b-cbc8-429d-ac1a-e901dad51636</vt:lpwstr>
  </property>
</Properties>
</file>